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371" windowWidth="151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<sst xmlns="http://schemas.openxmlformats.org/spreadsheetml/2006/main" count="86" uniqueCount="83">
  <si>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>How many patients do you plan to have per day in the first quarter?</t>
  </si>
  <si>
    <t>(average is 10)</t>
  </si>
  <si>
    <t>average per month =</t>
  </si>
  <si>
    <t>How many patients do you plan to have per day after the first quarter?</t>
  </si>
  <si>
    <t>(average is 17)</t>
  </si>
  <si>
    <t>average for years 2-5 =</t>
  </si>
  <si>
    <t>What do you anticipate billing for a 15 minute session?</t>
  </si>
  <si>
    <t>(average is $35)</t>
  </si>
  <si>
    <t>In first quarter you will make</t>
  </si>
  <si>
    <t>per month</t>
  </si>
  <si>
    <t>What amount do you anticipate your patients' insurance coverage not paying?</t>
  </si>
  <si>
    <t>thereafter you will make</t>
  </si>
  <si>
    <t>(average is 25%)</t>
  </si>
  <si>
    <t>writeoff per month equals first quarter</t>
  </si>
  <si>
    <t>writeoff per month equals therafter</t>
  </si>
  <si>
    <t>Net Revenue =</t>
  </si>
  <si>
    <t>Which pool are you interested in?</t>
  </si>
  <si>
    <t>Volume (units billed)</t>
  </si>
  <si>
    <t>Estimated Net revenue</t>
  </si>
  <si>
    <t>Month 1</t>
  </si>
  <si>
    <t>Month2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</si>
  <si>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</si>
  <si>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</si>
  <si>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</si>
  <si>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</si>
  <si>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</si>
  <si>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</si>
  <si>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</si>
  <si>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</si>
  <si>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</si>
  <si>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</si>
  <si>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#'s used</t>
  </si>
  <si>
    <t>Patient Revenue</t>
  </si>
  <si>
    <t>Capital Costs</t>
  </si>
  <si>
    <t>Installation Costs</t>
  </si>
  <si>
    <t>Subtotal</t>
  </si>
  <si>
    <t>Profit (apply to labor)</t>
  </si>
  <si>
    <t>ESTIMATED PROFIT FOR YEAR 1</t>
  </si>
  <si>
    <t>5 YEAR TOTAL PROFIT</t>
  </si>
  <si>
    <t>5 Year Total</t>
  </si>
  <si>
    <t>Years 2-5 (per year)</t>
  </si>
  <si>
    <t>ESTIMATED PROFIT FOR YEARS 2-5 (per year)</t>
  </si>
  <si>
    <t>1 Year TOTAL</t>
  </si>
  <si>
    <t>Insurance Average Charge</t>
  </si>
  <si>
    <t>If renting pool space, what do you anticipate charging per month?</t>
  </si>
  <si>
    <t>Volume (sessions billed)</t>
  </si>
  <si>
    <t>If you are financing, what is your quoted monthly payment?</t>
  </si>
  <si>
    <t>WELLNESS &amp; FITNESS - FEE BASED</t>
  </si>
  <si>
    <t>COST &amp; INSTALLATION</t>
  </si>
  <si>
    <t>Answer the questions and we'll do the math for you!</t>
  </si>
  <si>
    <t xml:space="preserve">Average Write-off </t>
  </si>
  <si>
    <t>HEALTHCARE REIMBURSEMENT</t>
  </si>
  <si>
    <t>RENTAL TO OUTSIDE GROUPS</t>
  </si>
  <si>
    <t>Rental Income</t>
  </si>
  <si>
    <t>Which pool series are you interested in?</t>
  </si>
  <si>
    <t>What is (will be) the square footage of your poolroom?</t>
  </si>
  <si>
    <t>What is the cost per square foot of your poolroom (estimate)?</t>
  </si>
  <si>
    <t>(Average is $200)</t>
  </si>
  <si>
    <t>What do you anticipate reimbursement to be for a 15 minute session?</t>
  </si>
  <si>
    <t>Pool</t>
  </si>
  <si>
    <t>Accessories Per Year</t>
  </si>
  <si>
    <t>Utilities Per Month</t>
  </si>
  <si>
    <t>Operating Costs Per Month</t>
  </si>
  <si>
    <t>Pool Chemicals Per Year</t>
  </si>
  <si>
    <t>Facility Cost allocation or Rental</t>
  </si>
  <si>
    <t>Costs Indicated Do Not Include Shipping</t>
  </si>
  <si>
    <t>(Minimums: 3500 - 415 sq ft, 2000 / 1200 - 450 sq ft,  750 - 286 sq ft, 500 - 252 sq ft, Instafit - 270 sq ft)</t>
  </si>
  <si>
    <r>
      <t xml:space="preserve">(3501, 3500, 2000, 1200, 751, 750, 501, 500, or 111 for Instafit) </t>
    </r>
    <r>
      <rPr>
        <b/>
        <sz val="10"/>
        <rFont val="Arial"/>
        <family val="2"/>
      </rPr>
      <t>*If financing, leave blank and complete line below</t>
    </r>
  </si>
  <si>
    <t>How many users do you plan to have per day in the first four months?</t>
  </si>
  <si>
    <t>How many users do you plan to have per day after the first four months?</t>
  </si>
  <si>
    <t>Volume (evaluations)</t>
  </si>
  <si>
    <t>Evaluation Charge</t>
  </si>
  <si>
    <t>What do you anticipate charging for a new patient evaluation?</t>
  </si>
  <si>
    <r>
      <t>How many new patient evaluations</t>
    </r>
    <r>
      <rPr>
        <sz val="10"/>
        <rFont val="Arial"/>
        <family val="2"/>
      </rPr>
      <t xml:space="preserve"> do you plan to perform per month in the first four months?</t>
    </r>
  </si>
  <si>
    <r>
      <t>How many new patient evaluations</t>
    </r>
    <r>
      <rPr>
        <sz val="10"/>
        <rFont val="Arial"/>
        <family val="2"/>
      </rPr>
      <t xml:space="preserve"> do you plan to perform per month after the first four months?</t>
    </r>
  </si>
  <si>
    <r>
      <t>How many patients</t>
    </r>
    <r>
      <rPr>
        <sz val="10"/>
        <rFont val="Arial"/>
        <family val="2"/>
      </rPr>
      <t xml:space="preserve"> do you plan to have per day in the first four months?</t>
    </r>
  </si>
  <si>
    <r>
      <t>How many patients</t>
    </r>
    <r>
      <rPr>
        <sz val="10"/>
        <rFont val="Arial"/>
        <family val="2"/>
      </rPr>
      <t xml:space="preserve"> do you plan to have per day after the first four months?</t>
    </r>
  </si>
  <si>
    <t>(Avg PT - $62,358)     (Avg PTA - $42,417)     (Avg Personal Trainer - 40% of charges)</t>
  </si>
  <si>
    <t>If billing for Aquatic Group Training, what do you anticipate charging per session (assume 60 mins)?</t>
  </si>
  <si>
    <t>If billing for Personal Training, what do you anticipate charging per session (assume 60 mins)?</t>
  </si>
  <si>
    <t>If billing for an Aquatic Boot Camp, what do you anticipate charging per session (assume 60 mins)?</t>
  </si>
  <si>
    <t>(Enter Amount in Cell B-67) Labor</t>
  </si>
  <si>
    <t>(Enter Amount in Cell B-58) Optional Features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</si>
</sst>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6"/>
      <name val="Rockwell"/>
      <family val="1"/>
    </font>
    <font>
      <b/>
      <sz val="18"/>
      <name val="Rockwell"/>
      <family val="1"/>
    </font>
    <font>
      <sz val="7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4" fontId="0" fillId="0" borderId="0" xfId="17" applyAlignment="1">
      <alignment/>
    </xf>
    <xf numFmtId="9" fontId="0" fillId="0" borderId="0" xfId="20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4" fontId="0" fillId="0" borderId="1" xfId="0" applyNumberFormat="1" applyBorder="1" applyAlignment="1">
      <alignment/>
    </xf>
    <xf numFmtId="44" fontId="0" fillId="0" borderId="2" xfId="0" applyNumberFormat="1" applyBorder="1" applyAlignment="1">
      <alignment/>
    </xf>
    <xf numFmtId="44" fontId="0" fillId="0" borderId="2" xfId="17" applyBorder="1" applyAlignment="1">
      <alignment/>
    </xf>
    <xf numFmtId="44" fontId="2" fillId="0" borderId="0" xfId="0" applyNumberFormat="1" applyFont="1" applyAlignment="1">
      <alignment/>
    </xf>
    <xf numFmtId="44" fontId="0" fillId="0" borderId="0" xfId="17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Border="1" applyAlignment="1">
      <alignment/>
    </xf>
    <xf numFmtId="44" fontId="0" fillId="0" borderId="0" xfId="17" applyBorder="1" applyAlignment="1">
      <alignment/>
    </xf>
    <xf numFmtId="44" fontId="0" fillId="0" borderId="3" xfId="0" applyNumberFormat="1" applyBorder="1" applyAlignment="1">
      <alignment/>
    </xf>
    <xf numFmtId="44" fontId="0" fillId="0" borderId="3" xfId="17" applyBorder="1" applyAlignment="1">
      <alignment/>
    </xf>
    <xf numFmtId="0" fontId="0" fillId="0" borderId="0" xfId="17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17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4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44" fontId="0" fillId="0" borderId="13" xfId="17" applyBorder="1" applyAlignment="1">
      <alignment/>
    </xf>
    <xf numFmtId="9" fontId="0" fillId="0" borderId="13" xfId="20" applyBorder="1" applyAlignment="1">
      <alignment/>
    </xf>
    <xf numFmtId="1" fontId="0" fillId="0" borderId="13" xfId="20" applyNumberFormat="1" applyBorder="1" applyAlignment="1">
      <alignment/>
    </xf>
    <xf numFmtId="0" fontId="0" fillId="0" borderId="13" xfId="20" applyNumberFormat="1" applyBorder="1" applyAlignment="1">
      <alignment/>
    </xf>
    <xf numFmtId="0" fontId="0" fillId="0" borderId="13" xfId="0" applyBorder="1" applyAlignment="1">
      <alignment horizontal="right"/>
    </xf>
    <xf numFmtId="44" fontId="0" fillId="0" borderId="13" xfId="17" applyBorder="1" applyAlignment="1">
      <alignment horizontal="right"/>
    </xf>
    <xf numFmtId="0" fontId="0" fillId="0" borderId="13" xfId="17" applyNumberFormat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2" fillId="0" borderId="5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44" fontId="2" fillId="0" borderId="0" xfId="0" applyNumberFormat="1" applyFont="1" applyFill="1" applyAlignment="1">
      <alignment/>
    </xf>
    <xf numFmtId="0" fontId="0" fillId="0" borderId="18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27</xdr:row>
      <xdr:rowOff>47625</xdr:rowOff>
    </xdr:from>
    <xdr:to>
      <xdr:col>0</xdr:col>
      <xdr:colOff>1866900</xdr:colOff>
      <xdr:row>46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342900" y="4591050"/>
          <a:ext cx="1524000" cy="3086100"/>
        </a:xfrm>
        <a:prstGeom prst="curv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123825</xdr:rowOff>
    </xdr:from>
    <xdr:to>
      <xdr:col>0</xdr:col>
      <xdr:colOff>1876425</xdr:colOff>
      <xdr:row>33</xdr:row>
      <xdr:rowOff>76200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6200" y="4505325"/>
          <a:ext cx="1800225" cy="1085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PROFORMA 
SPREADSHEET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selection activeCell="B67" sqref="B67"/>
    </sheetView>
  </sheetViews>
  <sheetFormatPr defaultColWidth="9.140625" defaultRowHeight="12.75"/>
  <cols>
    <col min="1" max="1" width="51.140625" style="0" customWidth="1"/>
    <col min="2" max="2" width="31.421875" style="0" customWidth="1"/>
    <col min="3" max="3" width="14.7109375" style="0" customWidth="1"/>
    <col min="4" max="6" width="12.57421875" style="0" bestFit="1" customWidth="1"/>
    <col min="7" max="9" width="13.28125" style="0" bestFit="1" customWidth="1"/>
    <col min="10" max="14" width="11.28125" style="0" bestFit="1" customWidth="1"/>
    <col min="15" max="16" width="12.28125" style="0" bestFit="1" customWidth="1"/>
    <col min="17" max="18" width="17.7109375" style="0" bestFit="1" customWidth="1"/>
    <col min="19" max="19" width="14.00390625" style="0" bestFit="1" customWidth="1"/>
  </cols>
  <sheetData>
    <row r="1" spans="1:2" ht="19.5" customHeight="1">
      <c r="A1" s="15" t="s">
        <v>49</v>
      </c>
      <c r="B1" s="9"/>
    </row>
    <row r="2" spans="1:3" ht="13.5" customHeight="1" thickBot="1">
      <c r="A2" s="34" t="s">
        <v>51</v>
      </c>
      <c r="B2" s="41"/>
      <c r="C2" s="57"/>
    </row>
    <row r="3" spans="1:3" ht="13.5" customHeight="1">
      <c r="A3" s="29"/>
      <c r="B3" s="58" t="s">
        <v>73</v>
      </c>
      <c r="C3" s="42"/>
    </row>
    <row r="4" spans="1:3" ht="13.5" customHeight="1">
      <c r="A4" s="55"/>
      <c r="B4" s="56" t="s">
        <v>74</v>
      </c>
      <c r="C4" s="42"/>
    </row>
    <row r="5" spans="1:3" ht="13.5" customHeight="1">
      <c r="A5" s="55"/>
      <c r="B5" s="31" t="s">
        <v>72</v>
      </c>
      <c r="C5" s="48"/>
    </row>
    <row r="6" spans="1:3" ht="12.75">
      <c r="A6" s="64" t="s">
        <v>75</v>
      </c>
      <c r="B6" s="65"/>
      <c r="C6" s="42"/>
    </row>
    <row r="7" spans="1:3" ht="12.75">
      <c r="A7" s="66" t="s">
        <v>76</v>
      </c>
      <c r="B7" s="67"/>
      <c r="C7" s="42"/>
    </row>
    <row r="8" spans="1:3" ht="12.75">
      <c r="A8" s="68" t="s">
        <v>58</v>
      </c>
      <c r="B8" s="67"/>
      <c r="C8" s="48"/>
    </row>
    <row r="9" spans="1:3" ht="13.5" thickBot="1">
      <c r="A9" s="69" t="s">
        <v>10</v>
      </c>
      <c r="B9" s="70"/>
      <c r="C9" s="49"/>
    </row>
    <row r="10" spans="1:3" ht="13.5" thickBot="1">
      <c r="A10" s="35" t="s">
        <v>47</v>
      </c>
      <c r="B10" s="45"/>
      <c r="C10" s="49"/>
    </row>
    <row r="11" spans="1:3" ht="12.75">
      <c r="A11" s="28"/>
      <c r="B11" s="46" t="s">
        <v>68</v>
      </c>
      <c r="C11" s="50"/>
    </row>
    <row r="12" spans="1:3" ht="12.75">
      <c r="A12" s="68" t="s">
        <v>69</v>
      </c>
      <c r="B12" s="67"/>
      <c r="C12" s="51"/>
    </row>
    <row r="13" spans="1:3" ht="12.75">
      <c r="A13" s="30"/>
      <c r="B13" s="43" t="s">
        <v>78</v>
      </c>
      <c r="C13" s="48"/>
    </row>
    <row r="14" spans="1:3" ht="12.75">
      <c r="A14" s="30"/>
      <c r="B14" s="43" t="s">
        <v>79</v>
      </c>
      <c r="C14" s="48"/>
    </row>
    <row r="15" spans="1:3" ht="13.5" thickBot="1">
      <c r="A15" s="32"/>
      <c r="B15" s="44" t="s">
        <v>80</v>
      </c>
      <c r="C15" s="48"/>
    </row>
    <row r="16" spans="1:3" ht="13.5" thickBot="1">
      <c r="A16" s="35" t="s">
        <v>52</v>
      </c>
      <c r="B16" s="45"/>
      <c r="C16" s="48"/>
    </row>
    <row r="17" spans="1:3" ht="13.5" thickBot="1">
      <c r="A17" s="33"/>
      <c r="B17" s="47" t="s">
        <v>44</v>
      </c>
      <c r="C17" s="48"/>
    </row>
    <row r="18" spans="1:3" ht="12.75">
      <c r="A18" s="35" t="s">
        <v>48</v>
      </c>
      <c r="B18" s="45"/>
      <c r="C18" s="48"/>
    </row>
    <row r="19" spans="1:4" ht="12.75">
      <c r="A19" s="30"/>
      <c r="B19" s="43" t="s">
        <v>54</v>
      </c>
      <c r="C19" s="52"/>
      <c r="D19" t="s">
        <v>67</v>
      </c>
    </row>
    <row r="20" spans="1:3" ht="12.75">
      <c r="A20" s="30"/>
      <c r="B20" s="43" t="s">
        <v>46</v>
      </c>
      <c r="C20" s="53"/>
    </row>
    <row r="21" spans="1:4" ht="12.75">
      <c r="A21" s="62" t="s">
        <v>55</v>
      </c>
      <c r="B21" s="63"/>
      <c r="C21" s="54"/>
      <c r="D21" t="s">
        <v>66</v>
      </c>
    </row>
    <row r="22" spans="1:4" ht="12.75">
      <c r="A22" s="62" t="s">
        <v>56</v>
      </c>
      <c r="B22" s="63"/>
      <c r="C22" s="48">
        <v>200</v>
      </c>
      <c r="D22" t="s">
        <v>57</v>
      </c>
    </row>
    <row r="24" spans="1:8" ht="12.75">
      <c r="A24" s="26" t="s">
        <v>37</v>
      </c>
      <c r="B24" s="26"/>
      <c r="C24" s="10">
        <f>O68</f>
        <v>-6609.999999999997</v>
      </c>
      <c r="E24" s="39"/>
      <c r="F24" s="40"/>
      <c r="G24" s="40"/>
      <c r="H24" s="40"/>
    </row>
    <row r="25" spans="1:3" ht="12.75">
      <c r="A25" s="26" t="s">
        <v>41</v>
      </c>
      <c r="B25" s="26"/>
      <c r="C25" s="10">
        <f>Q68</f>
        <v>-6610</v>
      </c>
    </row>
    <row r="26" spans="1:3" ht="12.75">
      <c r="A26" s="27" t="s">
        <v>38</v>
      </c>
      <c r="B26" s="27"/>
      <c r="C26" s="10">
        <f>R68</f>
        <v>-33050</v>
      </c>
    </row>
    <row r="27" spans="1:3" s="18" customFormat="1" ht="12.75">
      <c r="A27" s="16"/>
      <c r="B27" s="16"/>
      <c r="C27" s="17"/>
    </row>
    <row r="29" spans="1:18" ht="12.75">
      <c r="A29" s="8" t="s">
        <v>32</v>
      </c>
      <c r="B29" t="s">
        <v>31</v>
      </c>
      <c r="C29" t="s">
        <v>19</v>
      </c>
      <c r="D29" t="s">
        <v>20</v>
      </c>
      <c r="E29" t="s">
        <v>21</v>
      </c>
      <c r="F29" t="s">
        <v>22</v>
      </c>
      <c r="G29" t="s">
        <v>23</v>
      </c>
      <c r="H29" t="s">
        <v>24</v>
      </c>
      <c r="I29" t="s">
        <v>25</v>
      </c>
      <c r="J29" t="s">
        <v>26</v>
      </c>
      <c r="K29" t="s">
        <v>27</v>
      </c>
      <c r="L29" t="s">
        <v>28</v>
      </c>
      <c r="M29" t="s">
        <v>29</v>
      </c>
      <c r="N29" t="s">
        <v>30</v>
      </c>
      <c r="O29" t="s">
        <v>42</v>
      </c>
      <c r="Q29" t="s">
        <v>40</v>
      </c>
      <c r="R29" t="s">
        <v>39</v>
      </c>
    </row>
    <row r="30" spans="1:18" ht="12.75">
      <c r="A30" s="19" t="s">
        <v>70</v>
      </c>
      <c r="C30">
        <f>C3</f>
        <v>0</v>
      </c>
      <c r="D30">
        <f>C3</f>
        <v>0</v>
      </c>
      <c r="E30">
        <f>C3</f>
        <v>0</v>
      </c>
      <c r="F30">
        <f>C3</f>
        <v>0</v>
      </c>
      <c r="G30">
        <f>C4</f>
        <v>0</v>
      </c>
      <c r="H30">
        <f>C4</f>
        <v>0</v>
      </c>
      <c r="I30">
        <f>C4</f>
        <v>0</v>
      </c>
      <c r="J30">
        <f>C4</f>
        <v>0</v>
      </c>
      <c r="K30">
        <f>C4</f>
        <v>0</v>
      </c>
      <c r="L30">
        <f>C4</f>
        <v>0</v>
      </c>
      <c r="M30">
        <f>C4</f>
        <v>0</v>
      </c>
      <c r="N30">
        <f>C4</f>
        <v>0</v>
      </c>
      <c r="O30">
        <f>SUM(C30:N30)</f>
        <v>0</v>
      </c>
      <c r="Q30">
        <f>C4*12</f>
        <v>0</v>
      </c>
      <c r="R30">
        <f>Q30*4+O30</f>
        <v>0</v>
      </c>
    </row>
    <row r="31" spans="1:18" ht="12.75">
      <c r="A31" s="19" t="s">
        <v>71</v>
      </c>
      <c r="B31" s="3">
        <f>C5</f>
        <v>0</v>
      </c>
      <c r="C31" s="1">
        <f>C5*C30</f>
        <v>0</v>
      </c>
      <c r="D31" s="1">
        <f>C5*D30</f>
        <v>0</v>
      </c>
      <c r="E31" s="1">
        <f>C5*E30</f>
        <v>0</v>
      </c>
      <c r="F31" s="1">
        <f>C5*F30</f>
        <v>0</v>
      </c>
      <c r="G31" s="1">
        <f>C5*G30</f>
        <v>0</v>
      </c>
      <c r="H31" s="1">
        <f>C5*H30</f>
        <v>0</v>
      </c>
      <c r="I31" s="1">
        <f>C5*I30</f>
        <v>0</v>
      </c>
      <c r="J31" s="1">
        <f>C5*J30</f>
        <v>0</v>
      </c>
      <c r="K31" s="1">
        <f>C5*K30</f>
        <v>0</v>
      </c>
      <c r="L31" s="1">
        <f>C5*L30</f>
        <v>0</v>
      </c>
      <c r="M31" s="1">
        <f>C5*M30</f>
        <v>0</v>
      </c>
      <c r="N31" s="1">
        <f>C5*N30</f>
        <v>0</v>
      </c>
      <c r="O31" s="1">
        <f>SUM(C31:N31)</f>
        <v>0</v>
      </c>
      <c r="P31" s="1"/>
      <c r="Q31" s="1">
        <f>Q30*C5</f>
        <v>0</v>
      </c>
      <c r="R31" s="1">
        <f>Q31*4+O31</f>
        <v>0</v>
      </c>
    </row>
    <row r="32" spans="1:18" ht="12.75">
      <c r="A32" s="5" t="s">
        <v>17</v>
      </c>
      <c r="C32">
        <f>C6*3*21</f>
        <v>0</v>
      </c>
      <c r="D32">
        <f>C6*3*21</f>
        <v>0</v>
      </c>
      <c r="E32">
        <f>C6*3*21</f>
        <v>0</v>
      </c>
      <c r="F32">
        <f>C6*3*21</f>
        <v>0</v>
      </c>
      <c r="G32">
        <f>C7*3*21</f>
        <v>0</v>
      </c>
      <c r="H32">
        <f>C7*3*21</f>
        <v>0</v>
      </c>
      <c r="I32">
        <f>C7*3*21</f>
        <v>0</v>
      </c>
      <c r="J32">
        <f>C7*3*21</f>
        <v>0</v>
      </c>
      <c r="K32">
        <f>C7*3*21</f>
        <v>0</v>
      </c>
      <c r="L32">
        <f>C7*3*21</f>
        <v>0</v>
      </c>
      <c r="M32">
        <f>C7*3*21</f>
        <v>0</v>
      </c>
      <c r="N32">
        <f>C7*3*21</f>
        <v>0</v>
      </c>
      <c r="O32">
        <f aca="true" t="shared" si="0" ref="O32:O39">SUM(C32:N32)</f>
        <v>0</v>
      </c>
      <c r="Q32">
        <f>C7*3*21*12</f>
        <v>0</v>
      </c>
      <c r="R32">
        <f aca="true" t="shared" si="1" ref="R32:R39">Q32*4+O32</f>
        <v>0</v>
      </c>
    </row>
    <row r="33" spans="1:18" ht="12.75">
      <c r="A33" s="5" t="s">
        <v>43</v>
      </c>
      <c r="B33" s="1">
        <f>C8</f>
        <v>0</v>
      </c>
      <c r="C33" s="1">
        <f>C8*C32</f>
        <v>0</v>
      </c>
      <c r="D33" s="1">
        <f>C8*D32</f>
        <v>0</v>
      </c>
      <c r="E33" s="1">
        <f>C8*E32</f>
        <v>0</v>
      </c>
      <c r="F33" s="1">
        <f>C8*F32</f>
        <v>0</v>
      </c>
      <c r="G33" s="1">
        <f>C8*G32</f>
        <v>0</v>
      </c>
      <c r="H33" s="1">
        <f>C8*H32</f>
        <v>0</v>
      </c>
      <c r="I33" s="1">
        <f>C8*I32</f>
        <v>0</v>
      </c>
      <c r="J33" s="1">
        <f>C8*J32</f>
        <v>0</v>
      </c>
      <c r="K33" s="1">
        <f>C8*K32</f>
        <v>0</v>
      </c>
      <c r="L33" s="1">
        <f>C8*L32</f>
        <v>0</v>
      </c>
      <c r="M33" s="1">
        <f>C8*M32</f>
        <v>0</v>
      </c>
      <c r="N33" s="1">
        <f>C8*N32</f>
        <v>0</v>
      </c>
      <c r="O33" s="3">
        <f t="shared" si="0"/>
        <v>0</v>
      </c>
      <c r="Q33" s="3">
        <f>Q32*C8</f>
        <v>0</v>
      </c>
      <c r="R33" s="1">
        <f t="shared" si="1"/>
        <v>0</v>
      </c>
    </row>
    <row r="34" spans="1:18" ht="12.75">
      <c r="A34" s="5" t="s">
        <v>50</v>
      </c>
      <c r="B34" s="6">
        <f>C9</f>
        <v>0</v>
      </c>
      <c r="C34" s="20">
        <f>C9*(C31+C33)</f>
        <v>0</v>
      </c>
      <c r="D34" s="20">
        <f>C9*(D31+D33)</f>
        <v>0</v>
      </c>
      <c r="E34" s="20">
        <f>C9*(E31+E33)</f>
        <v>0</v>
      </c>
      <c r="F34" s="20">
        <f>C9*(F31+F33)</f>
        <v>0</v>
      </c>
      <c r="G34" s="20">
        <f>C9*(G31+G33)</f>
        <v>0</v>
      </c>
      <c r="H34" s="20">
        <f>C9*(H31+H33)</f>
        <v>0</v>
      </c>
      <c r="I34" s="20">
        <f>C9*(I31+I33)</f>
        <v>0</v>
      </c>
      <c r="J34" s="20">
        <f>C9*(J31+J33)</f>
        <v>0</v>
      </c>
      <c r="K34" s="20">
        <f>C9*(K31+K33)</f>
        <v>0</v>
      </c>
      <c r="L34" s="20">
        <f>C9*(L31+L33)</f>
        <v>0</v>
      </c>
      <c r="M34" s="20">
        <f>C9*(M31+M33)</f>
        <v>0</v>
      </c>
      <c r="N34" s="20">
        <f>C9*(N31+N33)</f>
        <v>0</v>
      </c>
      <c r="O34" s="20">
        <f t="shared" si="0"/>
        <v>0</v>
      </c>
      <c r="Q34" s="20">
        <f>Q33*C9</f>
        <v>0</v>
      </c>
      <c r="R34" s="21">
        <f t="shared" si="1"/>
        <v>0</v>
      </c>
    </row>
    <row r="35" spans="1:18" ht="12.75">
      <c r="A35" s="5" t="s">
        <v>45</v>
      </c>
      <c r="B35" s="6"/>
      <c r="C35" s="24">
        <f>C11*16</f>
        <v>0</v>
      </c>
      <c r="D35" s="24">
        <f>C11*16</f>
        <v>0</v>
      </c>
      <c r="E35" s="24">
        <f>C11*16</f>
        <v>0</v>
      </c>
      <c r="F35" s="24">
        <f>C11*16</f>
        <v>0</v>
      </c>
      <c r="G35" s="24">
        <f>C12*16</f>
        <v>0</v>
      </c>
      <c r="H35" s="24">
        <f>C12*16</f>
        <v>0</v>
      </c>
      <c r="I35" s="24">
        <f>C12*16</f>
        <v>0</v>
      </c>
      <c r="J35" s="24">
        <f>C12*16</f>
        <v>0</v>
      </c>
      <c r="K35" s="24">
        <f>C12*16</f>
        <v>0</v>
      </c>
      <c r="L35" s="24">
        <f>C12*16</f>
        <v>0</v>
      </c>
      <c r="M35" s="24">
        <f>C12*16</f>
        <v>0</v>
      </c>
      <c r="N35" s="24">
        <f>C12*16</f>
        <v>0</v>
      </c>
      <c r="O35" s="25">
        <f t="shared" si="0"/>
        <v>0</v>
      </c>
      <c r="Q35" s="25">
        <f>C12*16*12</f>
        <v>0</v>
      </c>
      <c r="R35" s="24">
        <f t="shared" si="1"/>
        <v>0</v>
      </c>
    </row>
    <row r="36" spans="1:18" ht="12.75">
      <c r="A36" s="5"/>
      <c r="B36" s="3">
        <f>C13</f>
        <v>0</v>
      </c>
      <c r="C36" s="20">
        <f>C13*C35</f>
        <v>0</v>
      </c>
      <c r="D36" s="20">
        <f>C13*D35</f>
        <v>0</v>
      </c>
      <c r="E36" s="20">
        <f>C13*E35</f>
        <v>0</v>
      </c>
      <c r="F36" s="20">
        <f>C13*F35</f>
        <v>0</v>
      </c>
      <c r="G36" s="20">
        <f>C13*G35</f>
        <v>0</v>
      </c>
      <c r="H36" s="20">
        <f>C13*H35</f>
        <v>0</v>
      </c>
      <c r="I36" s="20">
        <f>C13*I35</f>
        <v>0</v>
      </c>
      <c r="J36" s="20">
        <f>C13*J35</f>
        <v>0</v>
      </c>
      <c r="K36" s="20">
        <f>C13*K35</f>
        <v>0</v>
      </c>
      <c r="L36" s="20">
        <f>C13*L35</f>
        <v>0</v>
      </c>
      <c r="M36" s="20">
        <f>C13*M35</f>
        <v>0</v>
      </c>
      <c r="N36" s="20">
        <f>C13*N35</f>
        <v>0</v>
      </c>
      <c r="O36" s="20">
        <f t="shared" si="0"/>
        <v>0</v>
      </c>
      <c r="Q36" s="20">
        <f>Q35*C13</f>
        <v>0</v>
      </c>
      <c r="R36" s="21">
        <f t="shared" si="1"/>
        <v>0</v>
      </c>
    </row>
    <row r="37" spans="1:18" ht="12.75">
      <c r="A37" s="5"/>
      <c r="B37" s="3">
        <f>C14</f>
        <v>0</v>
      </c>
      <c r="C37" s="20">
        <f>C14*C35</f>
        <v>0</v>
      </c>
      <c r="D37" s="20">
        <f>C14*D35</f>
        <v>0</v>
      </c>
      <c r="E37" s="20">
        <f>C14*E35</f>
        <v>0</v>
      </c>
      <c r="F37" s="20">
        <f>C14*F35</f>
        <v>0</v>
      </c>
      <c r="G37" s="20">
        <f>C14*G35</f>
        <v>0</v>
      </c>
      <c r="H37" s="20">
        <f>C14*H35</f>
        <v>0</v>
      </c>
      <c r="I37" s="20">
        <f>C14*I35</f>
        <v>0</v>
      </c>
      <c r="J37" s="20">
        <f>C14*J35</f>
        <v>0</v>
      </c>
      <c r="K37" s="20">
        <f>C14*K35</f>
        <v>0</v>
      </c>
      <c r="L37" s="20">
        <f>C14*L35</f>
        <v>0</v>
      </c>
      <c r="M37" s="20">
        <f>C14*M35</f>
        <v>0</v>
      </c>
      <c r="N37" s="20">
        <f>C14*N35</f>
        <v>0</v>
      </c>
      <c r="O37" s="20">
        <f t="shared" si="0"/>
        <v>0</v>
      </c>
      <c r="Q37" s="20">
        <f>Q35*C14</f>
        <v>0</v>
      </c>
      <c r="R37" s="21">
        <f t="shared" si="1"/>
        <v>0</v>
      </c>
    </row>
    <row r="38" spans="1:18" ht="12.75">
      <c r="A38" s="5"/>
      <c r="B38" s="3">
        <f>C15</f>
        <v>0</v>
      </c>
      <c r="C38" s="20">
        <f>C15*C35</f>
        <v>0</v>
      </c>
      <c r="D38" s="20">
        <f>C15*D35</f>
        <v>0</v>
      </c>
      <c r="E38" s="20">
        <f>C15*E35</f>
        <v>0</v>
      </c>
      <c r="F38" s="20">
        <f>C15*F35</f>
        <v>0</v>
      </c>
      <c r="G38" s="20">
        <f>C15*G35</f>
        <v>0</v>
      </c>
      <c r="H38" s="20">
        <f>C15*H35</f>
        <v>0</v>
      </c>
      <c r="I38" s="20">
        <f>C15*I35</f>
        <v>0</v>
      </c>
      <c r="J38" s="20">
        <f>C15*J35</f>
        <v>0</v>
      </c>
      <c r="K38" s="20">
        <f>C15*K35</f>
        <v>0</v>
      </c>
      <c r="L38" s="20">
        <f>C15*L35</f>
        <v>0</v>
      </c>
      <c r="M38" s="20">
        <f>C15*M35</f>
        <v>0</v>
      </c>
      <c r="N38" s="20">
        <f>C15*N35</f>
        <v>0</v>
      </c>
      <c r="O38" s="20">
        <f t="shared" si="0"/>
        <v>0</v>
      </c>
      <c r="Q38" s="20">
        <f>Q35*C15</f>
        <v>0</v>
      </c>
      <c r="R38" s="21">
        <f t="shared" si="1"/>
        <v>0</v>
      </c>
    </row>
    <row r="39" spans="1:18" ht="13.5" thickBot="1">
      <c r="A39" s="5" t="s">
        <v>53</v>
      </c>
      <c r="B39" s="3">
        <f>C17</f>
        <v>0</v>
      </c>
      <c r="C39" s="11">
        <f>C17</f>
        <v>0</v>
      </c>
      <c r="D39" s="11">
        <f>C17</f>
        <v>0</v>
      </c>
      <c r="E39" s="11">
        <f>C17</f>
        <v>0</v>
      </c>
      <c r="F39" s="11">
        <f>C17</f>
        <v>0</v>
      </c>
      <c r="G39" s="11">
        <f>C17</f>
        <v>0</v>
      </c>
      <c r="H39" s="11">
        <f>C17</f>
        <v>0</v>
      </c>
      <c r="I39" s="11">
        <f>C17</f>
        <v>0</v>
      </c>
      <c r="J39" s="11">
        <f>C17</f>
        <v>0</v>
      </c>
      <c r="K39" s="11">
        <f>C17</f>
        <v>0</v>
      </c>
      <c r="L39" s="11">
        <f>C17</f>
        <v>0</v>
      </c>
      <c r="M39" s="11">
        <f>C17</f>
        <v>0</v>
      </c>
      <c r="N39" s="11">
        <f>C17</f>
        <v>0</v>
      </c>
      <c r="O39" s="11">
        <f t="shared" si="0"/>
        <v>0</v>
      </c>
      <c r="Q39" s="11">
        <f>O39</f>
        <v>0</v>
      </c>
      <c r="R39" s="12">
        <f t="shared" si="1"/>
        <v>0</v>
      </c>
    </row>
    <row r="40" spans="1:18" ht="12.75">
      <c r="A40" s="5" t="s">
        <v>18</v>
      </c>
      <c r="B40" s="7"/>
      <c r="C40" s="22">
        <f aca="true" t="shared" si="2" ref="C40:O40">C31+C33-C34+C36+C37+C38+C39</f>
        <v>0</v>
      </c>
      <c r="D40" s="22">
        <f t="shared" si="2"/>
        <v>0</v>
      </c>
      <c r="E40" s="22">
        <f t="shared" si="2"/>
        <v>0</v>
      </c>
      <c r="F40" s="22">
        <f t="shared" si="2"/>
        <v>0</v>
      </c>
      <c r="G40" s="22">
        <f t="shared" si="2"/>
        <v>0</v>
      </c>
      <c r="H40" s="22">
        <f t="shared" si="2"/>
        <v>0</v>
      </c>
      <c r="I40" s="22">
        <f t="shared" si="2"/>
        <v>0</v>
      </c>
      <c r="J40" s="22">
        <f t="shared" si="2"/>
        <v>0</v>
      </c>
      <c r="K40" s="22">
        <f t="shared" si="2"/>
        <v>0</v>
      </c>
      <c r="L40" s="22">
        <f t="shared" si="2"/>
        <v>0</v>
      </c>
      <c r="M40" s="22">
        <f t="shared" si="2"/>
        <v>0</v>
      </c>
      <c r="N40" s="22">
        <f t="shared" si="2"/>
        <v>0</v>
      </c>
      <c r="O40" s="22">
        <f t="shared" si="2"/>
        <v>0</v>
      </c>
      <c r="Q40" s="22">
        <f>Q31+Q33-Q34+Q36+Q37+Q38+Q39</f>
        <v>0</v>
      </c>
      <c r="R40" s="23">
        <f>R31+R33-R34+R36+R37+R38+R39</f>
        <v>0</v>
      </c>
    </row>
    <row r="42" spans="1:18" ht="12.75">
      <c r="A42" s="8" t="s">
        <v>33</v>
      </c>
      <c r="R42" s="1"/>
    </row>
    <row r="43" spans="1:18" ht="12.75">
      <c r="A43" s="19" t="s">
        <v>59</v>
      </c>
      <c r="B43" s="1">
        <f>IF(C19=3501,"$103,900",0)</f>
        <v>0</v>
      </c>
      <c r="C43" s="3">
        <f>B43/7/12</f>
        <v>0</v>
      </c>
      <c r="D43" s="3">
        <f aca="true" t="shared" si="3" ref="D43:D58">B43/7/12</f>
        <v>0</v>
      </c>
      <c r="E43" s="3">
        <f aca="true" t="shared" si="4" ref="E43:E58">B43/7/12</f>
        <v>0</v>
      </c>
      <c r="F43" s="3">
        <f aca="true" t="shared" si="5" ref="F43:F58">B43/7/12</f>
        <v>0</v>
      </c>
      <c r="G43" s="3">
        <f aca="true" t="shared" si="6" ref="G43:G58">B43/7/12</f>
        <v>0</v>
      </c>
      <c r="H43" s="3">
        <f aca="true" t="shared" si="7" ref="H43:H58">B43/7/12</f>
        <v>0</v>
      </c>
      <c r="I43" s="3">
        <f aca="true" t="shared" si="8" ref="I43:I58">B43/7/12</f>
        <v>0</v>
      </c>
      <c r="J43" s="3">
        <f aca="true" t="shared" si="9" ref="J43:J58">B43/7/12</f>
        <v>0</v>
      </c>
      <c r="K43" s="3">
        <f aca="true" t="shared" si="10" ref="K43:K58">B43/7/12</f>
        <v>0</v>
      </c>
      <c r="L43" s="3">
        <f aca="true" t="shared" si="11" ref="L43:L58">B43/7/12</f>
        <v>0</v>
      </c>
      <c r="M43" s="3">
        <f aca="true" t="shared" si="12" ref="M43:M58">B43/7/12</f>
        <v>0</v>
      </c>
      <c r="N43" s="3">
        <f aca="true" t="shared" si="13" ref="N43:N58">B43/7/12</f>
        <v>0</v>
      </c>
      <c r="O43" s="3">
        <f>SUM(C43:N43)</f>
        <v>0</v>
      </c>
      <c r="Q43" s="3">
        <f aca="true" t="shared" si="14" ref="Q43:Q63">O43</f>
        <v>0</v>
      </c>
      <c r="R43" s="1">
        <f>Q43*4+O43</f>
        <v>0</v>
      </c>
    </row>
    <row r="44" spans="1:18" ht="12.75">
      <c r="A44" s="19"/>
      <c r="B44" s="1">
        <f>IF(C19=3500,"$83,900",0)</f>
        <v>0</v>
      </c>
      <c r="C44" s="3">
        <f>B44/7/12</f>
        <v>0</v>
      </c>
      <c r="D44" s="3">
        <f t="shared" si="3"/>
        <v>0</v>
      </c>
      <c r="E44" s="3">
        <f t="shared" si="4"/>
        <v>0</v>
      </c>
      <c r="F44" s="3">
        <f t="shared" si="5"/>
        <v>0</v>
      </c>
      <c r="G44" s="3">
        <f t="shared" si="6"/>
        <v>0</v>
      </c>
      <c r="H44" s="3">
        <f t="shared" si="7"/>
        <v>0</v>
      </c>
      <c r="I44" s="3">
        <f t="shared" si="8"/>
        <v>0</v>
      </c>
      <c r="J44" s="3">
        <f t="shared" si="9"/>
        <v>0</v>
      </c>
      <c r="K44" s="3">
        <f t="shared" si="10"/>
        <v>0</v>
      </c>
      <c r="L44" s="3">
        <f t="shared" si="11"/>
        <v>0</v>
      </c>
      <c r="M44" s="3">
        <f t="shared" si="12"/>
        <v>0</v>
      </c>
      <c r="N44" s="3">
        <f t="shared" si="13"/>
        <v>0</v>
      </c>
      <c r="O44" s="3">
        <f>SUM(C44:N44)</f>
        <v>0</v>
      </c>
      <c r="Q44" s="3">
        <f t="shared" si="14"/>
        <v>0</v>
      </c>
      <c r="R44" s="1">
        <f>Q44*4+O44</f>
        <v>0</v>
      </c>
    </row>
    <row r="45" spans="1:18" ht="12.75">
      <c r="A45" s="5"/>
      <c r="B45" s="1">
        <f>IF(C19=2000,"$219,900",0)</f>
        <v>0</v>
      </c>
      <c r="C45" s="1">
        <f aca="true" t="shared" si="15" ref="C45:C54">B45/7/12</f>
        <v>0</v>
      </c>
      <c r="D45" s="1">
        <f t="shared" si="3"/>
        <v>0</v>
      </c>
      <c r="E45" s="1">
        <f t="shared" si="4"/>
        <v>0</v>
      </c>
      <c r="F45" s="1">
        <f t="shared" si="5"/>
        <v>0</v>
      </c>
      <c r="G45" s="1">
        <f t="shared" si="6"/>
        <v>0</v>
      </c>
      <c r="H45" s="1">
        <f t="shared" si="7"/>
        <v>0</v>
      </c>
      <c r="I45" s="1">
        <f t="shared" si="8"/>
        <v>0</v>
      </c>
      <c r="J45" s="1">
        <f t="shared" si="9"/>
        <v>0</v>
      </c>
      <c r="K45" s="1">
        <f t="shared" si="10"/>
        <v>0</v>
      </c>
      <c r="L45" s="1">
        <f t="shared" si="11"/>
        <v>0</v>
      </c>
      <c r="M45" s="1">
        <f t="shared" si="12"/>
        <v>0</v>
      </c>
      <c r="N45" s="1">
        <f t="shared" si="13"/>
        <v>0</v>
      </c>
      <c r="O45" s="1">
        <f aca="true" t="shared" si="16" ref="O45:O60">SUM(C45:N45)</f>
        <v>0</v>
      </c>
      <c r="Q45" s="3">
        <f t="shared" si="14"/>
        <v>0</v>
      </c>
      <c r="R45" s="1">
        <f aca="true" t="shared" si="17" ref="R45:R63">Q45*4+O45</f>
        <v>0</v>
      </c>
    </row>
    <row r="46" spans="1:18" ht="12.75">
      <c r="A46" s="5"/>
      <c r="B46" s="1">
        <f>IF(C19=1200,"$154,900",0)</f>
        <v>0</v>
      </c>
      <c r="C46" s="1">
        <f>B46/7/12</f>
        <v>0</v>
      </c>
      <c r="D46" s="1">
        <f t="shared" si="3"/>
        <v>0</v>
      </c>
      <c r="E46" s="1">
        <f t="shared" si="4"/>
        <v>0</v>
      </c>
      <c r="F46" s="1">
        <f t="shared" si="5"/>
        <v>0</v>
      </c>
      <c r="G46" s="1">
        <f t="shared" si="6"/>
        <v>0</v>
      </c>
      <c r="H46" s="1">
        <f t="shared" si="7"/>
        <v>0</v>
      </c>
      <c r="I46" s="1">
        <f t="shared" si="8"/>
        <v>0</v>
      </c>
      <c r="J46" s="1">
        <f t="shared" si="9"/>
        <v>0</v>
      </c>
      <c r="K46" s="1">
        <f t="shared" si="10"/>
        <v>0</v>
      </c>
      <c r="L46" s="1">
        <f t="shared" si="11"/>
        <v>0</v>
      </c>
      <c r="M46" s="1">
        <f t="shared" si="12"/>
        <v>0</v>
      </c>
      <c r="N46" s="1">
        <f t="shared" si="13"/>
        <v>0</v>
      </c>
      <c r="O46" s="1">
        <f t="shared" si="16"/>
        <v>0</v>
      </c>
      <c r="Q46" s="3">
        <f t="shared" si="14"/>
        <v>0</v>
      </c>
      <c r="R46" s="1">
        <f>Q46*4+O46</f>
        <v>0</v>
      </c>
    </row>
    <row r="47" spans="1:18" ht="12.75">
      <c r="A47" s="36"/>
      <c r="B47" s="1">
        <f>IF(C19=751,"$88,900",0)</f>
        <v>0</v>
      </c>
      <c r="C47" s="1">
        <f t="shared" si="15"/>
        <v>0</v>
      </c>
      <c r="D47" s="1">
        <f t="shared" si="3"/>
        <v>0</v>
      </c>
      <c r="E47" s="1">
        <f t="shared" si="4"/>
        <v>0</v>
      </c>
      <c r="F47" s="1">
        <f t="shared" si="5"/>
        <v>0</v>
      </c>
      <c r="G47" s="1">
        <f t="shared" si="6"/>
        <v>0</v>
      </c>
      <c r="H47" s="1">
        <f t="shared" si="7"/>
        <v>0</v>
      </c>
      <c r="I47" s="1">
        <f t="shared" si="8"/>
        <v>0</v>
      </c>
      <c r="J47" s="1">
        <f t="shared" si="9"/>
        <v>0</v>
      </c>
      <c r="K47" s="1">
        <f t="shared" si="10"/>
        <v>0</v>
      </c>
      <c r="L47" s="1">
        <f t="shared" si="11"/>
        <v>0</v>
      </c>
      <c r="M47" s="1">
        <f t="shared" si="12"/>
        <v>0</v>
      </c>
      <c r="N47" s="1">
        <f t="shared" si="13"/>
        <v>0</v>
      </c>
      <c r="O47" s="1">
        <f t="shared" si="16"/>
        <v>0</v>
      </c>
      <c r="Q47" s="3">
        <f t="shared" si="14"/>
        <v>0</v>
      </c>
      <c r="R47" s="1">
        <f t="shared" si="17"/>
        <v>0</v>
      </c>
    </row>
    <row r="48" spans="1:18" ht="12.75">
      <c r="A48" s="36"/>
      <c r="B48" s="1">
        <f>IF(C19=750,"$68,900",0)</f>
        <v>0</v>
      </c>
      <c r="C48" s="1">
        <f>B48/7/12</f>
        <v>0</v>
      </c>
      <c r="D48" s="1">
        <f t="shared" si="3"/>
        <v>0</v>
      </c>
      <c r="E48" s="1">
        <f t="shared" si="4"/>
        <v>0</v>
      </c>
      <c r="F48" s="1">
        <f t="shared" si="5"/>
        <v>0</v>
      </c>
      <c r="G48" s="1">
        <f t="shared" si="6"/>
        <v>0</v>
      </c>
      <c r="H48" s="1">
        <f t="shared" si="7"/>
        <v>0</v>
      </c>
      <c r="I48" s="1">
        <f t="shared" si="8"/>
        <v>0</v>
      </c>
      <c r="J48" s="1">
        <f t="shared" si="9"/>
        <v>0</v>
      </c>
      <c r="K48" s="1">
        <f t="shared" si="10"/>
        <v>0</v>
      </c>
      <c r="L48" s="1">
        <f t="shared" si="11"/>
        <v>0</v>
      </c>
      <c r="M48" s="1">
        <f t="shared" si="12"/>
        <v>0</v>
      </c>
      <c r="N48" s="1">
        <f t="shared" si="13"/>
        <v>0</v>
      </c>
      <c r="O48" s="1">
        <f t="shared" si="16"/>
        <v>0</v>
      </c>
      <c r="Q48" s="3">
        <f t="shared" si="14"/>
        <v>0</v>
      </c>
      <c r="R48" s="1">
        <f t="shared" si="17"/>
        <v>0</v>
      </c>
    </row>
    <row r="49" spans="1:18" ht="12.75">
      <c r="A49" s="36" t="s">
        <v>65</v>
      </c>
      <c r="B49" s="1">
        <f>IF(C19=501,"$76,900",0)</f>
        <v>0</v>
      </c>
      <c r="C49" s="1">
        <f t="shared" si="15"/>
        <v>0</v>
      </c>
      <c r="D49" s="1">
        <f t="shared" si="3"/>
        <v>0</v>
      </c>
      <c r="E49" s="1">
        <f t="shared" si="4"/>
        <v>0</v>
      </c>
      <c r="F49" s="1">
        <f t="shared" si="5"/>
        <v>0</v>
      </c>
      <c r="G49" s="1">
        <f t="shared" si="6"/>
        <v>0</v>
      </c>
      <c r="H49" s="1">
        <f t="shared" si="7"/>
        <v>0</v>
      </c>
      <c r="I49" s="1">
        <f t="shared" si="8"/>
        <v>0</v>
      </c>
      <c r="J49" s="1">
        <f t="shared" si="9"/>
        <v>0</v>
      </c>
      <c r="K49" s="1">
        <f t="shared" si="10"/>
        <v>0</v>
      </c>
      <c r="L49" s="1">
        <f t="shared" si="11"/>
        <v>0</v>
      </c>
      <c r="M49" s="1">
        <f t="shared" si="12"/>
        <v>0</v>
      </c>
      <c r="N49" s="1">
        <f t="shared" si="13"/>
        <v>0</v>
      </c>
      <c r="O49" s="1">
        <f>SUM(C49:N49)</f>
        <v>0</v>
      </c>
      <c r="Q49" s="3">
        <f t="shared" si="14"/>
        <v>0</v>
      </c>
      <c r="R49" s="1">
        <f>Q49*4+O49</f>
        <v>0</v>
      </c>
    </row>
    <row r="50" spans="1:18" ht="12.75">
      <c r="A50" s="36"/>
      <c r="B50" s="1">
        <f>IF(C19=500,"$56,900",0)</f>
        <v>0</v>
      </c>
      <c r="C50" s="1">
        <f>B50/7/12</f>
        <v>0</v>
      </c>
      <c r="D50" s="1">
        <f t="shared" si="3"/>
        <v>0</v>
      </c>
      <c r="E50" s="1">
        <f t="shared" si="4"/>
        <v>0</v>
      </c>
      <c r="F50" s="1">
        <f t="shared" si="5"/>
        <v>0</v>
      </c>
      <c r="G50" s="1">
        <f t="shared" si="6"/>
        <v>0</v>
      </c>
      <c r="H50" s="1">
        <f t="shared" si="7"/>
        <v>0</v>
      </c>
      <c r="I50" s="1">
        <f t="shared" si="8"/>
        <v>0</v>
      </c>
      <c r="J50" s="1">
        <f t="shared" si="9"/>
        <v>0</v>
      </c>
      <c r="K50" s="1">
        <f t="shared" si="10"/>
        <v>0</v>
      </c>
      <c r="L50" s="1">
        <f t="shared" si="11"/>
        <v>0</v>
      </c>
      <c r="M50" s="1">
        <f t="shared" si="12"/>
        <v>0</v>
      </c>
      <c r="N50" s="1">
        <f t="shared" si="13"/>
        <v>0</v>
      </c>
      <c r="O50" s="1">
        <f>SUM(C50:N50)</f>
        <v>0</v>
      </c>
      <c r="Q50" s="3">
        <f t="shared" si="14"/>
        <v>0</v>
      </c>
      <c r="R50" s="1">
        <f>Q50*4+O50</f>
        <v>0</v>
      </c>
    </row>
    <row r="51" spans="2:18" ht="12.75">
      <c r="B51" s="1">
        <f>IF(C19=111,"$87,900",0)</f>
        <v>0</v>
      </c>
      <c r="C51" s="1">
        <f t="shared" si="15"/>
        <v>0</v>
      </c>
      <c r="D51" s="1">
        <f t="shared" si="3"/>
        <v>0</v>
      </c>
      <c r="E51" s="1">
        <f t="shared" si="4"/>
        <v>0</v>
      </c>
      <c r="F51" s="1">
        <f t="shared" si="5"/>
        <v>0</v>
      </c>
      <c r="G51" s="1">
        <f t="shared" si="6"/>
        <v>0</v>
      </c>
      <c r="H51" s="1">
        <f t="shared" si="7"/>
        <v>0</v>
      </c>
      <c r="I51" s="1">
        <f t="shared" si="8"/>
        <v>0</v>
      </c>
      <c r="J51" s="1">
        <f t="shared" si="9"/>
        <v>0</v>
      </c>
      <c r="K51" s="1">
        <f t="shared" si="10"/>
        <v>0</v>
      </c>
      <c r="L51" s="1">
        <f t="shared" si="11"/>
        <v>0</v>
      </c>
      <c r="M51" s="1">
        <f t="shared" si="12"/>
        <v>0</v>
      </c>
      <c r="N51" s="1">
        <f t="shared" si="13"/>
        <v>0</v>
      </c>
      <c r="O51" s="1">
        <f t="shared" si="16"/>
        <v>0</v>
      </c>
      <c r="Q51" s="3">
        <f t="shared" si="14"/>
        <v>0</v>
      </c>
      <c r="R51" s="1">
        <f t="shared" si="17"/>
        <v>0</v>
      </c>
    </row>
    <row r="52" spans="1:18" ht="12.75">
      <c r="A52" s="5" t="s">
        <v>34</v>
      </c>
      <c r="B52" s="1">
        <f>IF(C19=3501,"$13,500",0)</f>
        <v>0</v>
      </c>
      <c r="C52" s="1">
        <f>B52/7/12</f>
        <v>0</v>
      </c>
      <c r="D52" s="1">
        <f t="shared" si="3"/>
        <v>0</v>
      </c>
      <c r="E52" s="1">
        <f t="shared" si="4"/>
        <v>0</v>
      </c>
      <c r="F52" s="1">
        <f t="shared" si="5"/>
        <v>0</v>
      </c>
      <c r="G52" s="1">
        <f t="shared" si="6"/>
        <v>0</v>
      </c>
      <c r="H52" s="1">
        <f t="shared" si="7"/>
        <v>0</v>
      </c>
      <c r="I52" s="1">
        <f t="shared" si="8"/>
        <v>0</v>
      </c>
      <c r="J52" s="1">
        <f t="shared" si="9"/>
        <v>0</v>
      </c>
      <c r="K52" s="1">
        <f t="shared" si="10"/>
        <v>0</v>
      </c>
      <c r="L52" s="1">
        <f t="shared" si="11"/>
        <v>0</v>
      </c>
      <c r="M52" s="1">
        <f t="shared" si="12"/>
        <v>0</v>
      </c>
      <c r="N52" s="1">
        <f t="shared" si="13"/>
        <v>0</v>
      </c>
      <c r="O52" s="1">
        <f t="shared" si="16"/>
        <v>0</v>
      </c>
      <c r="Q52" s="3">
        <f t="shared" si="14"/>
        <v>0</v>
      </c>
      <c r="R52" s="1">
        <f t="shared" si="17"/>
        <v>0</v>
      </c>
    </row>
    <row r="53" spans="1:18" ht="12.75">
      <c r="A53" s="5"/>
      <c r="B53" s="1">
        <f>IF(C19=3500,"$13,500",0)</f>
        <v>0</v>
      </c>
      <c r="C53" s="1">
        <f>B53/7/12</f>
        <v>0</v>
      </c>
      <c r="D53" s="1">
        <f t="shared" si="3"/>
        <v>0</v>
      </c>
      <c r="E53" s="1">
        <f t="shared" si="4"/>
        <v>0</v>
      </c>
      <c r="F53" s="1">
        <f t="shared" si="5"/>
        <v>0</v>
      </c>
      <c r="G53" s="1">
        <f t="shared" si="6"/>
        <v>0</v>
      </c>
      <c r="H53" s="1">
        <f t="shared" si="7"/>
        <v>0</v>
      </c>
      <c r="I53" s="1">
        <f t="shared" si="8"/>
        <v>0</v>
      </c>
      <c r="J53" s="1">
        <f t="shared" si="9"/>
        <v>0</v>
      </c>
      <c r="K53" s="1">
        <f t="shared" si="10"/>
        <v>0</v>
      </c>
      <c r="L53" s="1">
        <f t="shared" si="11"/>
        <v>0</v>
      </c>
      <c r="M53" s="1">
        <f t="shared" si="12"/>
        <v>0</v>
      </c>
      <c r="N53" s="1">
        <f t="shared" si="13"/>
        <v>0</v>
      </c>
      <c r="O53" s="1">
        <f t="shared" si="16"/>
        <v>0</v>
      </c>
      <c r="Q53" s="3">
        <f t="shared" si="14"/>
        <v>0</v>
      </c>
      <c r="R53" s="1">
        <f t="shared" si="17"/>
        <v>0</v>
      </c>
    </row>
    <row r="54" spans="1:18" ht="12.75">
      <c r="A54" s="5"/>
      <c r="B54" s="1">
        <f>IF(C19=2000,"$24,500",0)</f>
        <v>0</v>
      </c>
      <c r="C54" s="1">
        <f t="shared" si="15"/>
        <v>0</v>
      </c>
      <c r="D54" s="1">
        <f t="shared" si="3"/>
        <v>0</v>
      </c>
      <c r="E54" s="1">
        <f t="shared" si="4"/>
        <v>0</v>
      </c>
      <c r="F54" s="1">
        <f t="shared" si="5"/>
        <v>0</v>
      </c>
      <c r="G54" s="1">
        <f t="shared" si="6"/>
        <v>0</v>
      </c>
      <c r="H54" s="1">
        <f t="shared" si="7"/>
        <v>0</v>
      </c>
      <c r="I54" s="1">
        <f t="shared" si="8"/>
        <v>0</v>
      </c>
      <c r="J54" s="1">
        <f t="shared" si="9"/>
        <v>0</v>
      </c>
      <c r="K54" s="1">
        <f t="shared" si="10"/>
        <v>0</v>
      </c>
      <c r="L54" s="1">
        <f t="shared" si="11"/>
        <v>0</v>
      </c>
      <c r="M54" s="1">
        <f t="shared" si="12"/>
        <v>0</v>
      </c>
      <c r="N54" s="1">
        <f t="shared" si="13"/>
        <v>0</v>
      </c>
      <c r="O54" s="1">
        <f t="shared" si="16"/>
        <v>0</v>
      </c>
      <c r="Q54" s="3">
        <f t="shared" si="14"/>
        <v>0</v>
      </c>
      <c r="R54" s="1">
        <f t="shared" si="17"/>
        <v>0</v>
      </c>
    </row>
    <row r="55" spans="1:18" ht="12.75">
      <c r="A55" s="5"/>
      <c r="B55" s="1">
        <f>IF(C19=1200,"$24,500",0)</f>
        <v>0</v>
      </c>
      <c r="C55" s="1">
        <f>B55/7/12</f>
        <v>0</v>
      </c>
      <c r="D55" s="1">
        <f t="shared" si="3"/>
        <v>0</v>
      </c>
      <c r="E55" s="1">
        <f t="shared" si="4"/>
        <v>0</v>
      </c>
      <c r="F55" s="1">
        <f t="shared" si="5"/>
        <v>0</v>
      </c>
      <c r="G55" s="1">
        <f t="shared" si="6"/>
        <v>0</v>
      </c>
      <c r="H55" s="1">
        <f t="shared" si="7"/>
        <v>0</v>
      </c>
      <c r="I55" s="1">
        <f t="shared" si="8"/>
        <v>0</v>
      </c>
      <c r="J55" s="1">
        <f t="shared" si="9"/>
        <v>0</v>
      </c>
      <c r="K55" s="1">
        <f t="shared" si="10"/>
        <v>0</v>
      </c>
      <c r="L55" s="1">
        <f t="shared" si="11"/>
        <v>0</v>
      </c>
      <c r="M55" s="1">
        <f t="shared" si="12"/>
        <v>0</v>
      </c>
      <c r="N55" s="1">
        <f t="shared" si="13"/>
        <v>0</v>
      </c>
      <c r="O55" s="1">
        <f t="shared" si="16"/>
        <v>0</v>
      </c>
      <c r="Q55" s="3">
        <f t="shared" si="14"/>
        <v>0</v>
      </c>
      <c r="R55" s="1">
        <f t="shared" si="17"/>
        <v>0</v>
      </c>
    </row>
    <row r="56" spans="1:18" ht="12.75">
      <c r="A56" s="5"/>
      <c r="B56" s="1">
        <f>IF(C19=751,"$8,500",0)</f>
        <v>0</v>
      </c>
      <c r="C56" s="1">
        <f>B56/7/12</f>
        <v>0</v>
      </c>
      <c r="D56" s="1">
        <f t="shared" si="3"/>
        <v>0</v>
      </c>
      <c r="E56" s="1">
        <f t="shared" si="4"/>
        <v>0</v>
      </c>
      <c r="F56" s="1">
        <f t="shared" si="5"/>
        <v>0</v>
      </c>
      <c r="G56" s="1">
        <f t="shared" si="6"/>
        <v>0</v>
      </c>
      <c r="H56" s="1">
        <f t="shared" si="7"/>
        <v>0</v>
      </c>
      <c r="I56" s="1">
        <f t="shared" si="8"/>
        <v>0</v>
      </c>
      <c r="J56" s="1">
        <f t="shared" si="9"/>
        <v>0</v>
      </c>
      <c r="K56" s="1">
        <f t="shared" si="10"/>
        <v>0</v>
      </c>
      <c r="L56" s="1">
        <f t="shared" si="11"/>
        <v>0</v>
      </c>
      <c r="M56" s="1">
        <f t="shared" si="12"/>
        <v>0</v>
      </c>
      <c r="N56" s="1">
        <f t="shared" si="13"/>
        <v>0</v>
      </c>
      <c r="O56" s="1">
        <f t="shared" si="16"/>
        <v>0</v>
      </c>
      <c r="Q56" s="3">
        <f t="shared" si="14"/>
        <v>0</v>
      </c>
      <c r="R56" s="1">
        <f t="shared" si="17"/>
        <v>0</v>
      </c>
    </row>
    <row r="57" spans="1:18" ht="12.75">
      <c r="A57" s="5"/>
      <c r="B57" s="1">
        <f>IF(C19=750,"$8,500",0)</f>
        <v>0</v>
      </c>
      <c r="C57" s="14">
        <f>B57/7/12</f>
        <v>0</v>
      </c>
      <c r="D57" s="1">
        <f t="shared" si="3"/>
        <v>0</v>
      </c>
      <c r="E57" s="1">
        <f t="shared" si="4"/>
        <v>0</v>
      </c>
      <c r="F57" s="1">
        <f t="shared" si="5"/>
        <v>0</v>
      </c>
      <c r="G57" s="1">
        <f t="shared" si="6"/>
        <v>0</v>
      </c>
      <c r="H57" s="1">
        <f t="shared" si="7"/>
        <v>0</v>
      </c>
      <c r="I57" s="1">
        <f t="shared" si="8"/>
        <v>0</v>
      </c>
      <c r="J57" s="1">
        <f t="shared" si="9"/>
        <v>0</v>
      </c>
      <c r="K57" s="1">
        <f t="shared" si="10"/>
        <v>0</v>
      </c>
      <c r="L57" s="1">
        <f t="shared" si="11"/>
        <v>0</v>
      </c>
      <c r="M57" s="1">
        <f t="shared" si="12"/>
        <v>0</v>
      </c>
      <c r="N57" s="1">
        <f t="shared" si="13"/>
        <v>0</v>
      </c>
      <c r="O57" s="1">
        <f t="shared" si="16"/>
        <v>0</v>
      </c>
      <c r="Q57" s="3">
        <f t="shared" si="14"/>
        <v>0</v>
      </c>
      <c r="R57" s="1">
        <f t="shared" si="17"/>
        <v>0</v>
      </c>
    </row>
    <row r="58" spans="1:18" ht="12.75">
      <c r="A58" s="60" t="s">
        <v>82</v>
      </c>
      <c r="B58" s="38"/>
      <c r="C58" s="1">
        <f>B58/7/12</f>
        <v>0</v>
      </c>
      <c r="D58" s="1">
        <f t="shared" si="3"/>
        <v>0</v>
      </c>
      <c r="E58" s="1">
        <f t="shared" si="4"/>
        <v>0</v>
      </c>
      <c r="F58" s="1">
        <f t="shared" si="5"/>
        <v>0</v>
      </c>
      <c r="G58" s="1">
        <f t="shared" si="6"/>
        <v>0</v>
      </c>
      <c r="H58" s="1">
        <f t="shared" si="7"/>
        <v>0</v>
      </c>
      <c r="I58" s="1">
        <f t="shared" si="8"/>
        <v>0</v>
      </c>
      <c r="J58" s="1">
        <f t="shared" si="9"/>
        <v>0</v>
      </c>
      <c r="K58" s="1">
        <f t="shared" si="10"/>
        <v>0</v>
      </c>
      <c r="L58" s="1">
        <f t="shared" si="11"/>
        <v>0</v>
      </c>
      <c r="M58" s="1">
        <f t="shared" si="12"/>
        <v>0</v>
      </c>
      <c r="N58" s="1">
        <f t="shared" si="13"/>
        <v>0</v>
      </c>
      <c r="O58" s="1">
        <f t="shared" si="16"/>
        <v>0</v>
      </c>
      <c r="Q58" s="3">
        <f t="shared" si="14"/>
        <v>0</v>
      </c>
      <c r="R58" s="1">
        <f t="shared" si="17"/>
        <v>0</v>
      </c>
    </row>
    <row r="59" spans="1:18" ht="12.75">
      <c r="A59" s="5" t="s">
        <v>60</v>
      </c>
      <c r="B59" s="14">
        <v>760</v>
      </c>
      <c r="C59" s="1">
        <f>B59/12</f>
        <v>63.333333333333336</v>
      </c>
      <c r="D59" s="1">
        <f>B59/12</f>
        <v>63.333333333333336</v>
      </c>
      <c r="E59" s="1">
        <f>B59/12</f>
        <v>63.333333333333336</v>
      </c>
      <c r="F59" s="1">
        <f>B59/12</f>
        <v>63.333333333333336</v>
      </c>
      <c r="G59" s="1">
        <f>B59/12</f>
        <v>63.333333333333336</v>
      </c>
      <c r="H59" s="1">
        <f>B59/12</f>
        <v>63.333333333333336</v>
      </c>
      <c r="I59" s="1">
        <f>B59/12</f>
        <v>63.333333333333336</v>
      </c>
      <c r="J59" s="1">
        <f>B59/12</f>
        <v>63.333333333333336</v>
      </c>
      <c r="K59" s="1">
        <f>B59/12</f>
        <v>63.333333333333336</v>
      </c>
      <c r="L59" s="1">
        <f>B59/12</f>
        <v>63.333333333333336</v>
      </c>
      <c r="M59" s="1">
        <f>B59/12</f>
        <v>63.333333333333336</v>
      </c>
      <c r="N59" s="1">
        <f>B59/12</f>
        <v>63.333333333333336</v>
      </c>
      <c r="O59" s="1">
        <f t="shared" si="16"/>
        <v>760.0000000000001</v>
      </c>
      <c r="Q59" s="3">
        <f t="shared" si="14"/>
        <v>760.0000000000001</v>
      </c>
      <c r="R59" s="1">
        <f t="shared" si="17"/>
        <v>3800.0000000000005</v>
      </c>
    </row>
    <row r="60" spans="1:18" ht="12.75">
      <c r="A60" s="5" t="s">
        <v>61</v>
      </c>
      <c r="B60" s="1">
        <v>200</v>
      </c>
      <c r="C60" s="1">
        <f>B60</f>
        <v>200</v>
      </c>
      <c r="D60" s="1">
        <f>B60</f>
        <v>200</v>
      </c>
      <c r="E60" s="1">
        <f>B60</f>
        <v>200</v>
      </c>
      <c r="F60" s="1">
        <f>B60</f>
        <v>200</v>
      </c>
      <c r="G60" s="1">
        <f>B60</f>
        <v>200</v>
      </c>
      <c r="H60" s="1">
        <f>B60</f>
        <v>200</v>
      </c>
      <c r="I60" s="1">
        <f>B60</f>
        <v>200</v>
      </c>
      <c r="J60" s="1">
        <f>B60</f>
        <v>200</v>
      </c>
      <c r="K60" s="1">
        <f>B60</f>
        <v>200</v>
      </c>
      <c r="L60" s="1">
        <f>B60</f>
        <v>200</v>
      </c>
      <c r="M60" s="1">
        <f>B60</f>
        <v>200</v>
      </c>
      <c r="N60" s="1">
        <f>B60</f>
        <v>200</v>
      </c>
      <c r="O60" s="1">
        <f t="shared" si="16"/>
        <v>2400</v>
      </c>
      <c r="Q60" s="3">
        <f t="shared" si="14"/>
        <v>2400</v>
      </c>
      <c r="R60" s="1">
        <f t="shared" si="17"/>
        <v>12000</v>
      </c>
    </row>
    <row r="61" spans="1:18" ht="12.75">
      <c r="A61" s="5" t="s">
        <v>62</v>
      </c>
      <c r="B61" s="1">
        <v>250</v>
      </c>
      <c r="C61" s="1">
        <f>B61</f>
        <v>250</v>
      </c>
      <c r="D61" s="1">
        <f>B61</f>
        <v>250</v>
      </c>
      <c r="E61" s="1">
        <f>B61</f>
        <v>250</v>
      </c>
      <c r="F61" s="1">
        <f>B61</f>
        <v>250</v>
      </c>
      <c r="G61" s="1">
        <f>B61</f>
        <v>250</v>
      </c>
      <c r="H61" s="1">
        <f>B61</f>
        <v>250</v>
      </c>
      <c r="I61" s="1">
        <f>B61</f>
        <v>250</v>
      </c>
      <c r="J61" s="1">
        <f>B61</f>
        <v>250</v>
      </c>
      <c r="K61" s="1">
        <f>B61</f>
        <v>250</v>
      </c>
      <c r="L61" s="1">
        <f>B61</f>
        <v>250</v>
      </c>
      <c r="M61" s="1">
        <f>B61</f>
        <v>250</v>
      </c>
      <c r="N61" s="1">
        <f>B61</f>
        <v>250</v>
      </c>
      <c r="O61" s="1">
        <f>SUM(C61:N61)</f>
        <v>3000</v>
      </c>
      <c r="Q61" s="1">
        <f t="shared" si="14"/>
        <v>3000</v>
      </c>
      <c r="R61" s="1">
        <f t="shared" si="17"/>
        <v>15000</v>
      </c>
    </row>
    <row r="62" spans="1:18" ht="12.75">
      <c r="A62" s="5" t="s">
        <v>63</v>
      </c>
      <c r="B62" s="1">
        <v>450</v>
      </c>
      <c r="C62" s="1">
        <f>B62/12</f>
        <v>37.5</v>
      </c>
      <c r="D62" s="1">
        <f>B62/12</f>
        <v>37.5</v>
      </c>
      <c r="E62" s="1">
        <f>B62/12</f>
        <v>37.5</v>
      </c>
      <c r="F62" s="1">
        <f>B62/12</f>
        <v>37.5</v>
      </c>
      <c r="G62" s="1">
        <f>B62/12</f>
        <v>37.5</v>
      </c>
      <c r="H62" s="1">
        <f>B62/12</f>
        <v>37.5</v>
      </c>
      <c r="I62" s="1">
        <f>B62/12</f>
        <v>37.5</v>
      </c>
      <c r="J62" s="1">
        <f>B62/12</f>
        <v>37.5</v>
      </c>
      <c r="K62" s="1">
        <f>B62/12</f>
        <v>37.5</v>
      </c>
      <c r="L62" s="1">
        <f>B62/12</f>
        <v>37.5</v>
      </c>
      <c r="M62" s="1">
        <f>B62/12</f>
        <v>37.5</v>
      </c>
      <c r="N62" s="1">
        <f>B62/12</f>
        <v>37.5</v>
      </c>
      <c r="O62" s="1">
        <f>SUM(C62:N62)</f>
        <v>450</v>
      </c>
      <c r="Q62" s="3">
        <f t="shared" si="14"/>
        <v>450</v>
      </c>
      <c r="R62" s="1">
        <f t="shared" si="17"/>
        <v>2250</v>
      </c>
    </row>
    <row r="63" spans="1:18" ht="13.5" thickBot="1">
      <c r="A63" s="5" t="s">
        <v>64</v>
      </c>
      <c r="B63" s="1">
        <f>C21*C22</f>
        <v>0</v>
      </c>
      <c r="C63" s="12">
        <f>B63/60</f>
        <v>0</v>
      </c>
      <c r="D63" s="12">
        <f>B63/60</f>
        <v>0</v>
      </c>
      <c r="E63" s="12">
        <f>B63/60</f>
        <v>0</v>
      </c>
      <c r="F63" s="12">
        <f>B63/60</f>
        <v>0</v>
      </c>
      <c r="G63" s="12">
        <f>B63/60</f>
        <v>0</v>
      </c>
      <c r="H63" s="12">
        <f>B63/60</f>
        <v>0</v>
      </c>
      <c r="I63" s="12">
        <f>B63/60</f>
        <v>0</v>
      </c>
      <c r="J63" s="12">
        <f>B63/60</f>
        <v>0</v>
      </c>
      <c r="K63" s="12">
        <f>B63/60</f>
        <v>0</v>
      </c>
      <c r="L63" s="12">
        <f>B63/60</f>
        <v>0</v>
      </c>
      <c r="M63" s="12">
        <f>B63/60</f>
        <v>0</v>
      </c>
      <c r="N63" s="12">
        <f>B63/60</f>
        <v>0</v>
      </c>
      <c r="O63" s="12">
        <f>SUM(C63:N63)</f>
        <v>0</v>
      </c>
      <c r="P63" s="37"/>
      <c r="Q63" s="11">
        <f t="shared" si="14"/>
        <v>0</v>
      </c>
      <c r="R63" s="12">
        <f t="shared" si="17"/>
        <v>0</v>
      </c>
    </row>
    <row r="64" spans="1:18" ht="12.75">
      <c r="A64" s="5" t="s">
        <v>35</v>
      </c>
      <c r="B64" s="1"/>
      <c r="C64" s="1">
        <f aca="true" t="shared" si="18" ref="C64:N64">SUM(C43:C63)</f>
        <v>550.8333333333333</v>
      </c>
      <c r="D64" s="1">
        <f t="shared" si="18"/>
        <v>550.8333333333333</v>
      </c>
      <c r="E64" s="1">
        <f t="shared" si="18"/>
        <v>550.8333333333333</v>
      </c>
      <c r="F64" s="1">
        <f t="shared" si="18"/>
        <v>550.8333333333333</v>
      </c>
      <c r="G64" s="1">
        <f t="shared" si="18"/>
        <v>550.8333333333333</v>
      </c>
      <c r="H64" s="1">
        <f t="shared" si="18"/>
        <v>550.8333333333333</v>
      </c>
      <c r="I64" s="1">
        <f t="shared" si="18"/>
        <v>550.8333333333333</v>
      </c>
      <c r="J64" s="1">
        <f t="shared" si="18"/>
        <v>550.8333333333333</v>
      </c>
      <c r="K64" s="1">
        <f t="shared" si="18"/>
        <v>550.8333333333333</v>
      </c>
      <c r="L64" s="1">
        <f t="shared" si="18"/>
        <v>550.8333333333333</v>
      </c>
      <c r="M64" s="1">
        <f t="shared" si="18"/>
        <v>550.8333333333333</v>
      </c>
      <c r="N64" s="1">
        <f t="shared" si="18"/>
        <v>550.8333333333333</v>
      </c>
      <c r="O64" s="1">
        <f>SUM(C64:N64)</f>
        <v>6609.999999999997</v>
      </c>
      <c r="Q64" s="3">
        <f>SUM(Q43:Q63)</f>
        <v>6610</v>
      </c>
      <c r="R64" s="1">
        <f>Q64*4+O64</f>
        <v>33050</v>
      </c>
    </row>
    <row r="66" ht="12.75">
      <c r="A66" s="59" t="s">
        <v>77</v>
      </c>
    </row>
    <row r="67" spans="1:18" ht="13.5" thickBot="1">
      <c r="A67" s="60" t="s">
        <v>81</v>
      </c>
      <c r="B67" s="1"/>
      <c r="C67" s="12">
        <f>B67/12</f>
        <v>0</v>
      </c>
      <c r="D67" s="12">
        <f>B67/12</f>
        <v>0</v>
      </c>
      <c r="E67" s="12">
        <f>B67/12</f>
        <v>0</v>
      </c>
      <c r="F67" s="12">
        <f>B67/12</f>
        <v>0</v>
      </c>
      <c r="G67" s="12">
        <f>B67/12</f>
        <v>0</v>
      </c>
      <c r="H67" s="12">
        <f>B67/12</f>
        <v>0</v>
      </c>
      <c r="I67" s="12">
        <f>B67/12</f>
        <v>0</v>
      </c>
      <c r="J67" s="12">
        <f>B67/12</f>
        <v>0</v>
      </c>
      <c r="K67" s="12">
        <f>B67/12</f>
        <v>0</v>
      </c>
      <c r="L67" s="12">
        <f>B67/12</f>
        <v>0</v>
      </c>
      <c r="M67" s="12">
        <f>B67/12</f>
        <v>0</v>
      </c>
      <c r="N67" s="12">
        <f>B67/12</f>
        <v>0</v>
      </c>
      <c r="O67" s="12">
        <f>SUM(C67:N67)</f>
        <v>0</v>
      </c>
      <c r="P67" s="1"/>
      <c r="Q67" s="12">
        <f>O67</f>
        <v>0</v>
      </c>
      <c r="R67" s="12">
        <f>Q67*4+O67</f>
        <v>0</v>
      </c>
    </row>
    <row r="68" spans="1:18" ht="12.75">
      <c r="A68" s="8" t="s">
        <v>36</v>
      </c>
      <c r="C68" s="13">
        <f aca="true" t="shared" si="19" ref="C68:O68">C40-C64-C67</f>
        <v>-550.8333333333333</v>
      </c>
      <c r="D68" s="13">
        <f t="shared" si="19"/>
        <v>-550.8333333333333</v>
      </c>
      <c r="E68" s="13">
        <f t="shared" si="19"/>
        <v>-550.8333333333333</v>
      </c>
      <c r="F68" s="13">
        <f t="shared" si="19"/>
        <v>-550.8333333333333</v>
      </c>
      <c r="G68" s="13">
        <f t="shared" si="19"/>
        <v>-550.8333333333333</v>
      </c>
      <c r="H68" s="13">
        <f t="shared" si="19"/>
        <v>-550.8333333333333</v>
      </c>
      <c r="I68" s="61">
        <f t="shared" si="19"/>
        <v>-550.8333333333333</v>
      </c>
      <c r="J68" s="13">
        <f t="shared" si="19"/>
        <v>-550.8333333333333</v>
      </c>
      <c r="K68" s="13">
        <f t="shared" si="19"/>
        <v>-550.8333333333333</v>
      </c>
      <c r="L68" s="13">
        <f t="shared" si="19"/>
        <v>-550.8333333333333</v>
      </c>
      <c r="M68" s="13">
        <f t="shared" si="19"/>
        <v>-550.8333333333333</v>
      </c>
      <c r="N68" s="13">
        <f t="shared" si="19"/>
        <v>-550.8333333333333</v>
      </c>
      <c r="O68" s="13">
        <f t="shared" si="19"/>
        <v>-6609.999999999997</v>
      </c>
      <c r="P68" s="9"/>
      <c r="Q68" s="13">
        <f>Q40-Q64-Q67</f>
        <v>-6610</v>
      </c>
      <c r="R68" s="13">
        <f>R40-R64-R67</f>
        <v>-33050</v>
      </c>
    </row>
  </sheetData>
  <mergeCells count="7">
    <mergeCell ref="A22:B22"/>
    <mergeCell ref="A6:B6"/>
    <mergeCell ref="A7:B7"/>
    <mergeCell ref="A8:B8"/>
    <mergeCell ref="A9:B9"/>
    <mergeCell ref="A12:B12"/>
    <mergeCell ref="A21:B21"/>
  </mergeCells>
  <printOptions/>
  <pageMargins left="0.75" right="0.75" top="1" bottom="1" header="0.5" footer="0.5"/>
  <pageSetup horizontalDpi="600" verticalDpi="600" orientation="landscape" paperSize="3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10" sqref="B10"/>
    </sheetView>
  </sheetViews>
  <sheetFormatPr defaultColWidth="9.140625" defaultRowHeight="12.75"/>
  <cols>
    <col min="1" max="1" width="67.00390625" style="0" bestFit="1" customWidth="1"/>
    <col min="2" max="2" width="11.28125" style="0" bestFit="1" customWidth="1"/>
  </cols>
  <sheetData>
    <row r="1" spans="1:2" ht="12.75">
      <c r="A1" s="4" t="s">
        <v>0</v>
      </c>
      <c r="B1">
        <v>10</v>
      </c>
    </row>
    <row r="2" ht="12.75">
      <c r="A2" t="s">
        <v>1</v>
      </c>
    </row>
    <row r="4" spans="1:2" ht="12.75">
      <c r="A4" t="s">
        <v>2</v>
      </c>
      <c r="B4">
        <f>B1*2*21</f>
        <v>420</v>
      </c>
    </row>
    <row r="6" spans="1:2" ht="12.75">
      <c r="A6" s="4" t="s">
        <v>3</v>
      </c>
      <c r="B6">
        <v>17</v>
      </c>
    </row>
    <row r="7" ht="12.75">
      <c r="A7" t="s">
        <v>4</v>
      </c>
    </row>
    <row r="9" spans="1:2" ht="12.75">
      <c r="A9" t="s">
        <v>2</v>
      </c>
      <c r="B9">
        <f>B6*2*21</f>
        <v>714</v>
      </c>
    </row>
    <row r="10" spans="1:2" ht="12.75">
      <c r="A10" t="s">
        <v>5</v>
      </c>
      <c r="B10">
        <f>(4*B4+8*B9)*1.25</f>
        <v>9240</v>
      </c>
    </row>
    <row r="12" spans="1:2" ht="12.75">
      <c r="A12" s="4" t="s">
        <v>6</v>
      </c>
      <c r="B12" s="1">
        <v>35</v>
      </c>
    </row>
    <row r="13" ht="12.75">
      <c r="A13" t="s">
        <v>7</v>
      </c>
    </row>
    <row r="15" spans="1:3" ht="12.75">
      <c r="A15" t="s">
        <v>8</v>
      </c>
      <c r="B15" s="1">
        <f>B12*B4</f>
        <v>14700</v>
      </c>
      <c r="C15" t="s">
        <v>9</v>
      </c>
    </row>
    <row r="16" spans="1:2" ht="12.75">
      <c r="A16" t="s">
        <v>11</v>
      </c>
      <c r="B16" s="1">
        <f>B12*B9</f>
        <v>24990</v>
      </c>
    </row>
    <row r="18" spans="1:2" ht="12.75">
      <c r="A18" s="4" t="s">
        <v>10</v>
      </c>
      <c r="B18" s="2">
        <v>0.25</v>
      </c>
    </row>
    <row r="19" ht="12.75">
      <c r="A19" t="s">
        <v>12</v>
      </c>
    </row>
    <row r="21" spans="1:2" ht="12.75">
      <c r="A21" t="s">
        <v>13</v>
      </c>
      <c r="B21" s="3">
        <f>B18*B15</f>
        <v>3675</v>
      </c>
    </row>
    <row r="22" spans="1:2" ht="12.75">
      <c r="A22" t="s">
        <v>14</v>
      </c>
      <c r="B22" s="3">
        <f>B18*B16</f>
        <v>6247.5</v>
      </c>
    </row>
    <row r="24" spans="1:2" ht="12.75">
      <c r="A24" t="s">
        <v>15</v>
      </c>
      <c r="B24" s="3">
        <f>B15-B21</f>
        <v>11025</v>
      </c>
    </row>
    <row r="25" spans="1:2" ht="12.75">
      <c r="A25" t="s">
        <v>15</v>
      </c>
      <c r="B25" s="3">
        <f>B16-B22</f>
        <v>18742.5</v>
      </c>
    </row>
    <row r="27" ht="12.75">
      <c r="A27" s="4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anson J. </dc:creator>
  <cp:keywords/>
  <dc:description/>
  <cp:lastModifiedBy>Katon Tressler</cp:lastModifiedBy>
  <cp:lastPrinted>2004-02-16T15:47:21Z</cp:lastPrinted>
  <dcterms:created xsi:type="dcterms:W3CDTF">2000-03-11T21:41:03Z</dcterms:created>
  <dcterms:modified xsi:type="dcterms:W3CDTF">2011-01-26T16:18:59Z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